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15" windowWidth="19440" windowHeight="11610"/>
  </bookViews>
  <sheets>
    <sheet name="ANALYSIS" sheetId="1" r:id="rId1"/>
    <sheet name="Table 7 Calcs - Renters" sheetId="2" r:id="rId2"/>
    <sheet name="Table 8 Calcs - Owners" sheetId="3" r:id="rId3"/>
  </sheets>
  <calcPr calcId="125725"/>
</workbook>
</file>

<file path=xl/calcChain.xml><?xml version="1.0" encoding="utf-8"?>
<calcChain xmlns="http://schemas.openxmlformats.org/spreadsheetml/2006/main">
  <c r="D37" i="3"/>
  <c r="C37"/>
  <c r="D36" i="2"/>
  <c r="C36"/>
  <c r="H67" i="1" l="1"/>
  <c r="E67"/>
  <c r="C67"/>
  <c r="D67"/>
  <c r="B67"/>
  <c r="F22" i="3"/>
  <c r="C22"/>
  <c r="D22"/>
  <c r="E22"/>
  <c r="B22"/>
  <c r="F18"/>
  <c r="F19"/>
  <c r="F20"/>
  <c r="F21"/>
  <c r="E21"/>
  <c r="E20"/>
  <c r="E19"/>
  <c r="E18"/>
  <c r="E17"/>
  <c r="D21"/>
  <c r="D20"/>
  <c r="D19"/>
  <c r="D18"/>
  <c r="D17"/>
  <c r="C21"/>
  <c r="C20"/>
  <c r="C19"/>
  <c r="C18"/>
  <c r="C17"/>
  <c r="B21"/>
  <c r="B20"/>
  <c r="B19"/>
  <c r="B18"/>
  <c r="B17"/>
  <c r="E5" l="1"/>
  <c r="D5"/>
  <c r="C5"/>
  <c r="B5"/>
  <c r="E2" l="1"/>
  <c r="D2"/>
  <c r="C2"/>
  <c r="B2"/>
  <c r="C22" i="2" l="1"/>
  <c r="D22"/>
  <c r="E22"/>
  <c r="B22"/>
  <c r="C23" i="3"/>
  <c r="D23"/>
  <c r="D32" s="1"/>
  <c r="E23"/>
  <c r="B23"/>
  <c r="F23"/>
  <c r="C28"/>
  <c r="F6"/>
  <c r="F5"/>
  <c r="E4"/>
  <c r="E7" s="1"/>
  <c r="D4"/>
  <c r="D7" s="1"/>
  <c r="C4"/>
  <c r="C7" s="1"/>
  <c r="B4"/>
  <c r="F2"/>
  <c r="E3" s="1"/>
  <c r="C59" i="1"/>
  <c r="D59"/>
  <c r="B59"/>
  <c r="B36" i="2"/>
  <c r="B35"/>
  <c r="B37" s="1"/>
  <c r="H59" i="1" s="1"/>
  <c r="B31" i="2"/>
  <c r="B27"/>
  <c r="E20"/>
  <c r="D19"/>
  <c r="D21" s="1"/>
  <c r="C18"/>
  <c r="F18" s="1"/>
  <c r="B17"/>
  <c r="B21" s="1"/>
  <c r="D20"/>
  <c r="C20"/>
  <c r="B20"/>
  <c r="E19"/>
  <c r="C19"/>
  <c r="B19"/>
  <c r="E18"/>
  <c r="D18"/>
  <c r="B18"/>
  <c r="C27" s="1"/>
  <c r="E17"/>
  <c r="E21" s="1"/>
  <c r="D17"/>
  <c r="C17"/>
  <c r="D27" s="1"/>
  <c r="C11"/>
  <c r="C4"/>
  <c r="C7" s="1"/>
  <c r="D4"/>
  <c r="D7" s="1"/>
  <c r="E4"/>
  <c r="B4"/>
  <c r="B11" s="1"/>
  <c r="F6"/>
  <c r="F4" s="1"/>
  <c r="F5"/>
  <c r="F3" i="3" l="1"/>
  <c r="D31" i="2"/>
  <c r="D35" s="1"/>
  <c r="D38" s="1"/>
  <c r="G59" i="1" s="1"/>
  <c r="D37" i="2"/>
  <c r="J59" i="1" s="1"/>
  <c r="B38" i="2"/>
  <c r="E59" i="1" s="1"/>
  <c r="C31" i="2"/>
  <c r="C35" s="1"/>
  <c r="F22"/>
  <c r="C32" i="3"/>
  <c r="C36" s="1"/>
  <c r="C38" s="1"/>
  <c r="I67" i="1" s="1"/>
  <c r="B32" i="3"/>
  <c r="D11"/>
  <c r="F4"/>
  <c r="F7" s="1"/>
  <c r="B3"/>
  <c r="B7"/>
  <c r="F17"/>
  <c r="B37" s="1"/>
  <c r="D28"/>
  <c r="D36" s="1"/>
  <c r="C3"/>
  <c r="B11"/>
  <c r="D3"/>
  <c r="C11"/>
  <c r="B28"/>
  <c r="D11" i="2"/>
  <c r="B7"/>
  <c r="F17"/>
  <c r="C21"/>
  <c r="F21" s="1"/>
  <c r="F20"/>
  <c r="F19"/>
  <c r="E2"/>
  <c r="E7" s="1"/>
  <c r="C38" l="1"/>
  <c r="F59" i="1" s="1"/>
  <c r="C37" i="2"/>
  <c r="I59" i="1" s="1"/>
  <c r="B36" i="3"/>
  <c r="C39"/>
  <c r="F67" i="1" s="1"/>
  <c r="D39" i="3"/>
  <c r="G67" i="1" s="1"/>
  <c r="D38" i="3"/>
  <c r="J67" i="1" s="1"/>
  <c r="B38" i="3"/>
  <c r="B39"/>
  <c r="F2" i="2"/>
  <c r="G51" i="1"/>
  <c r="F51"/>
  <c r="E51"/>
  <c r="D51"/>
  <c r="C51"/>
  <c r="B51"/>
  <c r="G43"/>
  <c r="F43"/>
  <c r="E43"/>
  <c r="D43"/>
  <c r="C43"/>
  <c r="B43"/>
  <c r="D34"/>
  <c r="C34"/>
  <c r="B34"/>
  <c r="D27"/>
  <c r="C27"/>
  <c r="B27"/>
  <c r="H19"/>
  <c r="G19"/>
  <c r="F19"/>
  <c r="H11"/>
  <c r="F11"/>
  <c r="E19"/>
  <c r="D19"/>
  <c r="E11"/>
  <c r="D11"/>
  <c r="C19"/>
  <c r="G11"/>
  <c r="C11"/>
  <c r="C3" i="2" l="1"/>
  <c r="B3"/>
  <c r="D3"/>
  <c r="F7"/>
  <c r="F3"/>
  <c r="E3"/>
</calcChain>
</file>

<file path=xl/sharedStrings.xml><?xml version="1.0" encoding="utf-8"?>
<sst xmlns="http://schemas.openxmlformats.org/spreadsheetml/2006/main" count="201" uniqueCount="114">
  <si>
    <t xml:space="preserve">Modeled after: </t>
  </si>
  <si>
    <t>Affordability and Availability of Rental Housing in Pennsylvania</t>
  </si>
  <si>
    <t>By Erin Mierzwa, Federal Reserve Bank of Philadelphia, and Kathryn P. Nelson, Ph.D., Consultant, Affordable Housing Needs, with Harriet Newburger Ph.D., Federal Reserve Bank of Philadelphia</t>
  </si>
  <si>
    <t>Seattle Housing Needs Analysis</t>
  </si>
  <si>
    <t>Source:</t>
  </si>
  <si>
    <t>HUD Comprehensive Housing Affordability Strategy (CHAS) tabulations of 2005-09 ACS 5-Year Estimates, City of Seattle</t>
  </si>
  <si>
    <t>Table 1</t>
  </si>
  <si>
    <t>Lower-Income Renter Households: Income Distribution and Housing Problems</t>
  </si>
  <si>
    <t># of Renter Households</t>
  </si>
  <si>
    <t># of Renter Households in Income Group</t>
  </si>
  <si>
    <t>ELI</t>
  </si>
  <si>
    <t>VLI</t>
  </si>
  <si>
    <t>LI</t>
  </si>
  <si>
    <t>% With Any Housing Problems (Housing Unit or Cost Burden Problem)</t>
  </si>
  <si>
    <t>Table 2</t>
  </si>
  <si>
    <t>Lower-Income Owner Households: Income Distribution and Housing Problems</t>
  </si>
  <si>
    <t># of Owner Households</t>
  </si>
  <si>
    <t># of Owner Households in Income Group</t>
  </si>
  <si>
    <t>Source: CHAS Table 8</t>
  </si>
  <si>
    <t>Source: CHAS Tables 3 &amp; 8</t>
  </si>
  <si>
    <t>Table 3</t>
  </si>
  <si>
    <t>City of Seattle</t>
  </si>
  <si>
    <r>
      <t>Lower-Income Renter Households: Housing Unit Problems</t>
    </r>
    <r>
      <rPr>
        <sz val="10"/>
        <color rgb="FF41526C"/>
        <rFont val="Trebuchet MS"/>
        <family val="2"/>
      </rPr>
      <t>*</t>
    </r>
  </si>
  <si>
    <t>* Housing unit problems refer to a unit that lacks plumbing or kitchen facilities or is over-crowded.</t>
  </si>
  <si>
    <t>% of Renters with at Least One Housing Unit Problem</t>
  </si>
  <si>
    <t>Source: CHAS Table 3</t>
  </si>
  <si>
    <t>% of Owners with at Least One Housing Unit Problem</t>
  </si>
  <si>
    <t>Table 4</t>
  </si>
  <si>
    <r>
      <t>Lower-Income Owner Households: Housing Unit Problems</t>
    </r>
    <r>
      <rPr>
        <sz val="10"/>
        <color rgb="FF41526C"/>
        <rFont val="Trebuchet MS"/>
        <family val="2"/>
      </rPr>
      <t>*</t>
    </r>
  </si>
  <si>
    <t>Table 5</t>
  </si>
  <si>
    <t>Lower-Income Renter Households: Cost Burden Incidence</t>
  </si>
  <si>
    <t>% of Renters With Any Cost Burden (Gross Rent &gt; 30% of Income)</t>
  </si>
  <si>
    <t>% of Renters With Severe Cost Burden (Gross Rent &gt; 50% of Income)</t>
  </si>
  <si>
    <t>Table 6</t>
  </si>
  <si>
    <t>Lower-Income Owner Households: Cost Burden Incidence</t>
  </si>
  <si>
    <t>% of Owners With Any Cost Burden (Gross Rent &gt; 30% of Income)</t>
  </si>
  <si>
    <t>% of Owners With Severe Cost Burden (Gross Rent &gt; 50% of Income)</t>
  </si>
  <si>
    <t>Number of ELI Renters with Severe Housing Cost Burden</t>
  </si>
  <si>
    <t>Number of ELI Owners with Severe Housing Cost Burden</t>
  </si>
  <si>
    <t>Table 7</t>
  </si>
  <si>
    <t>Lower-Income Renter Households: Affordable and Available Housing Units Per 100 Renter Households and Absolute Shortages/Surpluses</t>
  </si>
  <si>
    <t>Affordable Units per 100 Renter Households</t>
  </si>
  <si>
    <t>Affordable and Available Units per 100 Renter Households</t>
  </si>
  <si>
    <t>Absolute Shortages/Surpluses of Available and Affordable Units</t>
  </si>
  <si>
    <r>
      <t xml:space="preserve">Household Income </t>
    </r>
    <r>
      <rPr>
        <sz val="11"/>
        <color theme="1"/>
        <rFont val="Calibri"/>
        <family val="2"/>
      </rPr>
      <t>≤ 30.0% AMI (ELI)</t>
    </r>
  </si>
  <si>
    <r>
      <t xml:space="preserve">Household Income </t>
    </r>
    <r>
      <rPr>
        <sz val="11"/>
        <color theme="1"/>
        <rFont val="Calibri"/>
        <family val="2"/>
      </rPr>
      <t>30.1 - 50.0% AMI (VLI)</t>
    </r>
  </si>
  <si>
    <r>
      <t>Household Income 5</t>
    </r>
    <r>
      <rPr>
        <sz val="11"/>
        <color theme="1"/>
        <rFont val="Calibri"/>
        <family val="2"/>
      </rPr>
      <t>0.1 - 80.0% AMI (LI)</t>
    </r>
  </si>
  <si>
    <r>
      <t>Household Income &gt;</t>
    </r>
    <r>
      <rPr>
        <sz val="11"/>
        <color theme="1"/>
        <rFont val="Calibri"/>
        <family val="2"/>
      </rPr>
      <t xml:space="preserve"> 80.0% AMI</t>
    </r>
  </si>
  <si>
    <t>Total Renter Households by HAMFI Group</t>
  </si>
  <si>
    <t>% Distribution of HAMFI Groups</t>
  </si>
  <si>
    <t>Total Occupied and Vacant Rental Housing Units Affordable to HAMFI Group</t>
  </si>
  <si>
    <t>Occupied Rental Housing Units</t>
  </si>
  <si>
    <t>Vacant Rental Housing Units</t>
  </si>
  <si>
    <t>TOTAL</t>
  </si>
  <si>
    <t>Source: CHAS Tables 15C and 14B</t>
  </si>
  <si>
    <r>
      <rPr>
        <b/>
        <sz val="11"/>
        <color theme="1"/>
        <rFont val="Calibri"/>
        <family val="2"/>
        <scheme val="minor"/>
      </rPr>
      <t>Total Shortage/Surplus of Units Affordable to HAMFI Group</t>
    </r>
    <r>
      <rPr>
        <sz val="11"/>
        <color theme="1"/>
        <rFont val="Calibri"/>
        <family val="2"/>
        <scheme val="minor"/>
      </rPr>
      <t xml:space="preserve"> (Total Housing Units - Total Renter Households Within Group)</t>
    </r>
  </si>
  <si>
    <t>AFFORDABLE RENTAL HOUSING UNITS</t>
  </si>
  <si>
    <t>AFFORDABLE AND AVAILABLE RENTAL HOUSING UNITS</t>
  </si>
  <si>
    <r>
      <t xml:space="preserve">Household Income </t>
    </r>
    <r>
      <rPr>
        <sz val="11"/>
        <color theme="1"/>
        <rFont val="Calibri"/>
        <family val="2"/>
      </rPr>
      <t>≤ 30.0% AMI (ELI Renters)</t>
    </r>
  </si>
  <si>
    <r>
      <t xml:space="preserve">Household Income </t>
    </r>
    <r>
      <rPr>
        <sz val="11"/>
        <color theme="1"/>
        <rFont val="Calibri"/>
        <family val="2"/>
      </rPr>
      <t>0.0 - 50.0% AMI</t>
    </r>
  </si>
  <si>
    <r>
      <t xml:space="preserve">Household Income </t>
    </r>
    <r>
      <rPr>
        <sz val="11"/>
        <color theme="1"/>
        <rFont val="Calibri"/>
        <family val="2"/>
      </rPr>
      <t>0.0 - 80.0% AMI</t>
    </r>
  </si>
  <si>
    <r>
      <rPr>
        <b/>
        <sz val="11"/>
        <color theme="1"/>
        <rFont val="Calibri"/>
        <family val="2"/>
        <scheme val="minor"/>
      </rPr>
      <t>Affordable Units per 100 Renter Households</t>
    </r>
    <r>
      <rPr>
        <sz val="11"/>
        <color theme="1"/>
        <rFont val="Calibri"/>
        <family val="2"/>
        <scheme val="minor"/>
      </rPr>
      <t xml:space="preserve"> (Total Housing Units / Total Renter Households * 100)</t>
    </r>
  </si>
  <si>
    <t>Rental Units are Occupied by:</t>
  </si>
  <si>
    <t>Total Occupied Units</t>
  </si>
  <si>
    <t>Total Vacant Units</t>
  </si>
  <si>
    <r>
      <t xml:space="preserve">Renters with Household Incomes </t>
    </r>
    <r>
      <rPr>
        <sz val="11"/>
        <color theme="1"/>
        <rFont val="Calibri"/>
        <family val="2"/>
      </rPr>
      <t>≤ 30% of HAMFI</t>
    </r>
  </si>
  <si>
    <r>
      <t>Renters with Household Incomes between 30.1 - 5</t>
    </r>
    <r>
      <rPr>
        <sz val="11"/>
        <color theme="1"/>
        <rFont val="Calibri"/>
        <family val="2"/>
      </rPr>
      <t>0.0% of HAMFI</t>
    </r>
  </si>
  <si>
    <r>
      <t>Renters with Household Incomes between 50.1 - 8</t>
    </r>
    <r>
      <rPr>
        <sz val="11"/>
        <color theme="1"/>
        <rFont val="Calibri"/>
        <family val="2"/>
      </rPr>
      <t>0.0% of HAMFI</t>
    </r>
  </si>
  <si>
    <t>Rent Affordable to:</t>
  </si>
  <si>
    <t>Total Renters by HAMFI Group</t>
  </si>
  <si>
    <r>
      <t xml:space="preserve">Household Income </t>
    </r>
    <r>
      <rPr>
        <sz val="11"/>
        <color theme="1"/>
        <rFont val="Calibri"/>
        <family val="2"/>
      </rPr>
      <t>≤ 30.0% AMI</t>
    </r>
  </si>
  <si>
    <r>
      <t xml:space="preserve">Household Income </t>
    </r>
    <r>
      <rPr>
        <sz val="11"/>
        <color theme="1"/>
        <rFont val="Calibri"/>
        <family val="2"/>
      </rPr>
      <t>30.1 - 50.0% AMI</t>
    </r>
  </si>
  <si>
    <r>
      <t>Household Income 5</t>
    </r>
    <r>
      <rPr>
        <sz val="11"/>
        <color theme="1"/>
        <rFont val="Calibri"/>
        <family val="2"/>
      </rPr>
      <t>0.1 - 80.0% AMI</t>
    </r>
  </si>
  <si>
    <t>Rent is Affordable to Those at Specified Income Levels and Occupied by Renters at or below the Income Level</t>
  </si>
  <si>
    <t>Final Occupied Units</t>
  </si>
  <si>
    <t>Final Vacant Units (cumulated)</t>
  </si>
  <si>
    <t>Total Renter Households</t>
  </si>
  <si>
    <r>
      <rPr>
        <b/>
        <sz val="11"/>
        <color theme="1"/>
        <rFont val="Calibri"/>
        <family val="2"/>
        <scheme val="minor"/>
      </rPr>
      <t>Affordable and Available Units Per 100 Renter Households</t>
    </r>
    <r>
      <rPr>
        <sz val="11"/>
        <color theme="1"/>
        <rFont val="Calibri"/>
        <family val="2"/>
        <scheme val="minor"/>
      </rPr>
      <t xml:space="preserve"> (Total Affordable and Available Units / Total Renter Households * 100)</t>
    </r>
  </si>
  <si>
    <r>
      <rPr>
        <b/>
        <sz val="11"/>
        <color theme="1"/>
        <rFont val="Calibri"/>
        <family val="2"/>
        <scheme val="minor"/>
      </rPr>
      <t xml:space="preserve">Total Shortage/Surplus of Units Affordable to Income Groups </t>
    </r>
    <r>
      <rPr>
        <sz val="11"/>
        <color theme="1"/>
        <rFont val="Calibri"/>
        <family val="2"/>
        <scheme val="minor"/>
      </rPr>
      <t>(Total Affordable and Available Units - Total Households)</t>
    </r>
  </si>
  <si>
    <r>
      <rPr>
        <b/>
        <sz val="11"/>
        <color theme="1"/>
        <rFont val="Calibri"/>
        <family val="2"/>
        <scheme val="minor"/>
      </rPr>
      <t>Total Units Affordable and Available</t>
    </r>
    <r>
      <rPr>
        <sz val="11"/>
        <color theme="1"/>
        <rFont val="Calibri"/>
        <family val="2"/>
        <scheme val="minor"/>
      </rPr>
      <t xml:space="preserve"> (Final Occupied Units + Final Vacant Units)</t>
    </r>
  </si>
  <si>
    <t>0-30% of AMI</t>
  </si>
  <si>
    <t>0-50% of AMI</t>
  </si>
  <si>
    <t>0-80% of AMI</t>
  </si>
  <si>
    <t>Table 8</t>
  </si>
  <si>
    <t>Lower-Income Owner Households: Affordable and Available Housing Units Per 100 Owner Households and Absolute Shortages/Surpluses</t>
  </si>
  <si>
    <t>Affordable Units per 100 Owner Households</t>
  </si>
  <si>
    <t>Affordable and Available Units per 100 Owner Households</t>
  </si>
  <si>
    <t>Source: CHAS Tables 15A, 15B and 14A</t>
  </si>
  <si>
    <t>AFFORDABLE Owner HOUSING UNITS</t>
  </si>
  <si>
    <t>Total Occupied and Vacant Owner Housing Units Affordable to HAMFI Group</t>
  </si>
  <si>
    <t>Occupied Owner Housing Units</t>
  </si>
  <si>
    <t>Vacant Owner Housing Units</t>
  </si>
  <si>
    <t>AFFORDABLE AND AVAILABLE Owner HOUSING UNITS</t>
  </si>
  <si>
    <t>Owner Units are Occupied by:</t>
  </si>
  <si>
    <t>Total Owner Households by HAMFI Group</t>
  </si>
  <si>
    <t>Total Shortage/Surplus of Units Affordable to HAMFI Group (Total Housing Units - Total Owner Households Within Group)</t>
  </si>
  <si>
    <t>Affordable Units per 100 Owner Households (Total Housing Units / Total Owner Households * 100)</t>
  </si>
  <si>
    <t>Total Owners by HAMFI Group</t>
  </si>
  <si>
    <t>Owners with Household Incomes ≤ 30% of HAMFI</t>
  </si>
  <si>
    <t>Owners with Household Incomes between 30.1 - 50.0% of HAMFI</t>
  </si>
  <si>
    <t>Owners with Household Incomes between 50.1 - 80.0% of HAMFI</t>
  </si>
  <si>
    <t>Total Owner Households</t>
  </si>
  <si>
    <t>Affordable and Available Units Per 100 Owner Households (Total Affordable and Available Units / Total Owner Households * 100)</t>
  </si>
  <si>
    <t>Housing Costs Affordable to:</t>
  </si>
  <si>
    <t>Housing Costs is Affordable to Those at Specified Income Levels and Occupied by Owners at or below the Income Level</t>
  </si>
  <si>
    <r>
      <t xml:space="preserve">Household Income </t>
    </r>
    <r>
      <rPr>
        <sz val="11"/>
        <color theme="1"/>
        <rFont val="Calibri"/>
        <family val="2"/>
      </rPr>
      <t>≤ 50.0% AMI (VLI)</t>
    </r>
  </si>
  <si>
    <r>
      <t>Household Income 8</t>
    </r>
    <r>
      <rPr>
        <sz val="11"/>
        <color theme="1"/>
        <rFont val="Calibri"/>
        <family val="2"/>
      </rPr>
      <t>0.1 - 100.0% AMI</t>
    </r>
  </si>
  <si>
    <r>
      <t>Household Income &gt;</t>
    </r>
    <r>
      <rPr>
        <sz val="11"/>
        <color theme="1"/>
        <rFont val="Calibri"/>
        <family val="2"/>
      </rPr>
      <t xml:space="preserve"> 100.0% AMI</t>
    </r>
  </si>
  <si>
    <t>Owners with Household Incomes between 80.1 - 100.0% of HAMFI</t>
  </si>
  <si>
    <t>Owners with Household Incomes &gt; 100.0% of HAMFI</t>
  </si>
  <si>
    <r>
      <t>Renters with Household Incomes &gt; 8</t>
    </r>
    <r>
      <rPr>
        <sz val="11"/>
        <color theme="1"/>
        <rFont val="Calibri"/>
        <family val="2"/>
      </rPr>
      <t>0.0% of HAMFI</t>
    </r>
  </si>
  <si>
    <t>Household Income 0-50% of AMI</t>
  </si>
  <si>
    <t>Household Income 0-80% of AMI</t>
  </si>
  <si>
    <t>Household Income 0-100% of AMI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</si>
</sst>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.5"/>
      <color rgb="FF41526C"/>
      <name val="Trebuchet MS"/>
      <family val="2"/>
    </font>
    <font>
      <sz val="10"/>
      <color rgb="FF41526C"/>
      <name val="Trebuchet MS"/>
      <family val="2"/>
    </font>
    <font>
      <sz val="10"/>
      <color theme="1"/>
      <name val="Calibri"/>
      <family val="2"/>
      <scheme val="minor"/>
    </font>
    <font>
      <u/>
      <sz val="10"/>
      <color rgb="FF41526C"/>
      <name val="Trebuchet MS"/>
      <family val="2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9" fontId="7" fillId="0" borderId="0" xfId="1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4" fontId="0" fillId="0" borderId="0" xfId="2" applyNumberFormat="1" applyFont="1" applyAlignment="1">
      <alignment horizontal="right"/>
    </xf>
    <xf numFmtId="164" fontId="0" fillId="0" borderId="0" xfId="0" applyNumberFormat="1"/>
    <xf numFmtId="9" fontId="0" fillId="0" borderId="0" xfId="1" applyFont="1" applyAlignment="1">
      <alignment horizontal="right"/>
    </xf>
    <xf numFmtId="164" fontId="8" fillId="0" borderId="0" xfId="2" applyNumberFormat="1" applyFont="1" applyAlignment="1">
      <alignment horizontal="right"/>
    </xf>
    <xf numFmtId="164" fontId="8" fillId="0" borderId="0" xfId="0" applyNumberFormat="1" applyFont="1"/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164" fontId="1" fillId="0" borderId="0" xfId="2" applyNumberFormat="1" applyFont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center" wrapText="1"/>
    </xf>
    <xf numFmtId="164" fontId="0" fillId="0" borderId="8" xfId="0" applyNumberFormat="1" applyFont="1" applyBorder="1"/>
    <xf numFmtId="164" fontId="8" fillId="0" borderId="8" xfId="0" applyNumberFormat="1" applyFont="1" applyBorder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A55" sqref="A55:K60"/>
    </sheetView>
  </sheetViews>
  <sheetFormatPr defaultRowHeight="15"/>
  <cols>
    <col min="1" max="1" width="13.5703125" bestFit="1" customWidth="1"/>
    <col min="2" max="8" width="10.42578125" customWidth="1"/>
  </cols>
  <sheetData>
    <row r="1" spans="1:11" ht="21.75">
      <c r="A1" s="1" t="s">
        <v>3</v>
      </c>
    </row>
    <row r="2" spans="1:11">
      <c r="A2" s="2" t="s">
        <v>0</v>
      </c>
      <c r="B2" s="2" t="s">
        <v>1</v>
      </c>
      <c r="C2" s="3"/>
    </row>
    <row r="3" spans="1:11" ht="30" customHeight="1">
      <c r="A3" s="3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</row>
    <row r="4" spans="1:11" ht="30" customHeight="1">
      <c r="A4" s="2" t="s">
        <v>4</v>
      </c>
      <c r="B4" s="34" t="s">
        <v>5</v>
      </c>
      <c r="C4" s="34"/>
      <c r="D4" s="34"/>
      <c r="E4" s="34"/>
      <c r="F4" s="34"/>
      <c r="G4" s="34"/>
      <c r="H4" s="34"/>
      <c r="I4" s="34"/>
      <c r="J4" s="34"/>
      <c r="K4" s="34"/>
    </row>
    <row r="5" spans="1:11">
      <c r="B5" s="2"/>
      <c r="C5" s="2"/>
    </row>
    <row r="7" spans="1:11" s="5" customFormat="1">
      <c r="A7" s="4" t="s">
        <v>6</v>
      </c>
      <c r="B7" s="4" t="s">
        <v>7</v>
      </c>
    </row>
    <row r="9" spans="1:11" ht="30.75" customHeight="1">
      <c r="B9" s="9" t="s">
        <v>8</v>
      </c>
      <c r="C9" s="37" t="s">
        <v>9</v>
      </c>
      <c r="D9" s="38"/>
      <c r="E9" s="39"/>
      <c r="F9" s="37" t="s">
        <v>13</v>
      </c>
      <c r="G9" s="38"/>
      <c r="H9" s="39"/>
    </row>
    <row r="10" spans="1:11">
      <c r="C10" s="6" t="s">
        <v>10</v>
      </c>
      <c r="D10" s="6" t="s">
        <v>11</v>
      </c>
      <c r="E10" s="6" t="s">
        <v>12</v>
      </c>
      <c r="F10" s="6" t="s">
        <v>10</v>
      </c>
      <c r="G10" s="6" t="s">
        <v>11</v>
      </c>
      <c r="H10" s="6" t="s">
        <v>12</v>
      </c>
    </row>
    <row r="11" spans="1:11">
      <c r="A11" t="s">
        <v>21</v>
      </c>
      <c r="B11" s="8">
        <v>139675</v>
      </c>
      <c r="C11" s="7">
        <f>35715/B11</f>
        <v>0.25570073384642922</v>
      </c>
      <c r="D11" s="7">
        <f>21815/B11</f>
        <v>0.15618399856810453</v>
      </c>
      <c r="E11" s="7">
        <f>27670/B11</f>
        <v>0.1981027385000895</v>
      </c>
      <c r="F11" s="7">
        <f>28540/34080</f>
        <v>0.83744131455399062</v>
      </c>
      <c r="G11" s="7">
        <f>17100/21820</f>
        <v>0.78368469294225485</v>
      </c>
      <c r="H11" s="7">
        <f>11400/27670</f>
        <v>0.41199855439103722</v>
      </c>
    </row>
    <row r="12" spans="1:11" s="10" customFormat="1" ht="12">
      <c r="B12" s="10" t="s">
        <v>19</v>
      </c>
      <c r="D12" s="11"/>
      <c r="E12" s="11"/>
      <c r="G12" s="11"/>
      <c r="H12" s="11"/>
    </row>
    <row r="15" spans="1:11">
      <c r="A15" s="4" t="s">
        <v>14</v>
      </c>
      <c r="B15" s="4" t="s">
        <v>15</v>
      </c>
      <c r="D15" s="5"/>
      <c r="E15" s="5"/>
      <c r="F15" s="5"/>
      <c r="G15" s="5"/>
      <c r="H15" s="5"/>
    </row>
    <row r="17" spans="1:8" ht="30.75" customHeight="1">
      <c r="B17" s="9" t="s">
        <v>16</v>
      </c>
      <c r="C17" s="37" t="s">
        <v>17</v>
      </c>
      <c r="D17" s="38"/>
      <c r="E17" s="39"/>
      <c r="F17" s="37" t="s">
        <v>13</v>
      </c>
      <c r="G17" s="38"/>
      <c r="H17" s="39"/>
    </row>
    <row r="18" spans="1:8">
      <c r="C18" s="6" t="s">
        <v>10</v>
      </c>
      <c r="D18" s="6" t="s">
        <v>11</v>
      </c>
      <c r="E18" s="6" t="s">
        <v>12</v>
      </c>
      <c r="F18" s="6" t="s">
        <v>10</v>
      </c>
      <c r="G18" s="6" t="s">
        <v>11</v>
      </c>
      <c r="H18" s="6" t="s">
        <v>12</v>
      </c>
    </row>
    <row r="19" spans="1:8">
      <c r="A19" t="s">
        <v>21</v>
      </c>
      <c r="B19" s="8">
        <v>137350</v>
      </c>
      <c r="C19" s="7">
        <f>7955/B19</f>
        <v>5.7917728431015655E-2</v>
      </c>
      <c r="D19" s="7">
        <f>9485/B19</f>
        <v>6.9057153258099746E-2</v>
      </c>
      <c r="E19" s="7">
        <f>14615/B19</f>
        <v>0.10640698944302876</v>
      </c>
      <c r="F19" s="7">
        <f>6660/7460</f>
        <v>0.89276139410187672</v>
      </c>
      <c r="G19" s="7">
        <f>6300/9485</f>
        <v>0.66420664206642066</v>
      </c>
      <c r="H19" s="7">
        <f>8360/14625</f>
        <v>0.57162393162393166</v>
      </c>
    </row>
    <row r="20" spans="1:8" s="10" customFormat="1" ht="12">
      <c r="B20" s="10" t="s">
        <v>19</v>
      </c>
      <c r="D20" s="11"/>
      <c r="E20" s="11"/>
      <c r="G20" s="11"/>
      <c r="H20" s="11"/>
    </row>
    <row r="23" spans="1:8">
      <c r="A23" s="4" t="s">
        <v>20</v>
      </c>
      <c r="B23" s="4" t="s">
        <v>22</v>
      </c>
      <c r="D23" s="5"/>
      <c r="E23" s="5"/>
      <c r="F23" s="5"/>
      <c r="G23" s="5"/>
      <c r="H23" s="5"/>
    </row>
    <row r="25" spans="1:8" ht="30.75" customHeight="1">
      <c r="B25" s="37" t="s">
        <v>24</v>
      </c>
      <c r="C25" s="38"/>
      <c r="D25" s="39"/>
      <c r="E25" s="12"/>
    </row>
    <row r="26" spans="1:8">
      <c r="B26" s="6" t="s">
        <v>10</v>
      </c>
      <c r="C26" s="6" t="s">
        <v>11</v>
      </c>
      <c r="D26" s="6" t="s">
        <v>12</v>
      </c>
      <c r="E26" s="6"/>
    </row>
    <row r="27" spans="1:8">
      <c r="A27" t="s">
        <v>21</v>
      </c>
      <c r="B27" s="7">
        <f>(1850+560+510)/34080</f>
        <v>8.5680751173708922E-2</v>
      </c>
      <c r="C27" s="7">
        <f>(740+410+395)/21820</f>
        <v>7.0806599450045832E-2</v>
      </c>
      <c r="D27" s="7">
        <f>(560+525+285)/27670</f>
        <v>4.9512106975063246E-2</v>
      </c>
      <c r="E27" s="7"/>
    </row>
    <row r="28" spans="1:8">
      <c r="B28" s="10" t="s">
        <v>23</v>
      </c>
      <c r="C28" s="10"/>
      <c r="D28" s="11"/>
      <c r="E28" s="11"/>
      <c r="F28" s="10"/>
      <c r="G28" s="11"/>
      <c r="H28" s="11"/>
    </row>
    <row r="29" spans="1:8">
      <c r="B29" s="10" t="s">
        <v>25</v>
      </c>
    </row>
    <row r="30" spans="1:8">
      <c r="A30" s="4" t="s">
        <v>27</v>
      </c>
      <c r="B30" s="4" t="s">
        <v>28</v>
      </c>
      <c r="D30" s="5"/>
      <c r="E30" s="5"/>
      <c r="F30" s="5"/>
      <c r="G30" s="5"/>
      <c r="H30" s="5"/>
    </row>
    <row r="32" spans="1:8" ht="30.75" customHeight="1">
      <c r="B32" s="37" t="s">
        <v>26</v>
      </c>
      <c r="C32" s="38"/>
      <c r="D32" s="39"/>
      <c r="E32" s="12"/>
    </row>
    <row r="33" spans="1:8">
      <c r="B33" s="6" t="s">
        <v>10</v>
      </c>
      <c r="C33" s="6" t="s">
        <v>11</v>
      </c>
      <c r="D33" s="6" t="s">
        <v>12</v>
      </c>
      <c r="E33" s="13"/>
    </row>
    <row r="34" spans="1:8">
      <c r="A34" t="s">
        <v>21</v>
      </c>
      <c r="B34" s="7">
        <f>(90+10+10)/7460</f>
        <v>1.4745308310991957E-2</v>
      </c>
      <c r="C34" s="7">
        <f>(40+195+10)/9485</f>
        <v>2.5830258302583026E-2</v>
      </c>
      <c r="D34" s="7">
        <f>(60+160+40)/14625</f>
        <v>1.7777777777777778E-2</v>
      </c>
      <c r="E34" s="14"/>
    </row>
    <row r="35" spans="1:8">
      <c r="B35" s="10" t="s">
        <v>23</v>
      </c>
      <c r="C35" s="10"/>
      <c r="D35" s="11"/>
      <c r="E35" s="11"/>
      <c r="F35" s="10"/>
      <c r="G35" s="11"/>
      <c r="H35" s="11"/>
    </row>
    <row r="36" spans="1:8">
      <c r="B36" s="10" t="s">
        <v>25</v>
      </c>
    </row>
    <row r="39" spans="1:8">
      <c r="A39" s="4" t="s">
        <v>29</v>
      </c>
      <c r="B39" s="4" t="s">
        <v>30</v>
      </c>
      <c r="D39" s="5"/>
      <c r="E39" s="5"/>
      <c r="F39" s="5"/>
      <c r="G39" s="5"/>
      <c r="H39" s="5"/>
    </row>
    <row r="40" spans="1:8">
      <c r="H40" s="40" t="s">
        <v>37</v>
      </c>
    </row>
    <row r="41" spans="1:8" ht="30.75" customHeight="1">
      <c r="B41" s="37" t="s">
        <v>31</v>
      </c>
      <c r="C41" s="38"/>
      <c r="D41" s="39"/>
      <c r="E41" s="37" t="s">
        <v>32</v>
      </c>
      <c r="F41" s="38"/>
      <c r="G41" s="38"/>
      <c r="H41" s="41"/>
    </row>
    <row r="42" spans="1:8">
      <c r="B42" s="6" t="s">
        <v>10</v>
      </c>
      <c r="C42" s="6" t="s">
        <v>11</v>
      </c>
      <c r="D42" s="6" t="s">
        <v>12</v>
      </c>
      <c r="E42" s="6" t="s">
        <v>10</v>
      </c>
      <c r="F42" s="6" t="s">
        <v>11</v>
      </c>
      <c r="G42" s="6" t="s">
        <v>12</v>
      </c>
      <c r="H42" s="42"/>
    </row>
    <row r="43" spans="1:8">
      <c r="A43" t="s">
        <v>21</v>
      </c>
      <c r="B43" s="7">
        <f>27780/(35715-1760)</f>
        <v>0.81814165807686645</v>
      </c>
      <c r="C43" s="7">
        <f>16310/21815</f>
        <v>0.74765069906027959</v>
      </c>
      <c r="D43" s="7">
        <f>10205/27670</f>
        <v>0.36881098662811712</v>
      </c>
      <c r="E43" s="7">
        <f>22190/(35715-1760)</f>
        <v>0.65351200117802977</v>
      </c>
      <c r="F43" s="7">
        <f>5300/21815</f>
        <v>0.24295209718083888</v>
      </c>
      <c r="G43" s="7">
        <f>3485/27670</f>
        <v>0.12594868088182146</v>
      </c>
      <c r="H43" s="8">
        <v>22190</v>
      </c>
    </row>
    <row r="44" spans="1:8">
      <c r="A44" s="10"/>
      <c r="B44" s="10" t="s">
        <v>18</v>
      </c>
      <c r="C44" s="10"/>
      <c r="D44" s="11"/>
      <c r="E44" s="11"/>
      <c r="F44" s="10"/>
      <c r="G44" s="11"/>
      <c r="H44" s="11"/>
    </row>
    <row r="47" spans="1:8">
      <c r="A47" s="4" t="s">
        <v>33</v>
      </c>
      <c r="B47" s="4" t="s">
        <v>34</v>
      </c>
      <c r="D47" s="5"/>
      <c r="E47" s="5"/>
      <c r="F47" s="5"/>
      <c r="G47" s="5"/>
    </row>
    <row r="48" spans="1:8">
      <c r="H48" s="40" t="s">
        <v>38</v>
      </c>
    </row>
    <row r="49" spans="1:11" ht="30.75" customHeight="1">
      <c r="B49" s="37" t="s">
        <v>35</v>
      </c>
      <c r="C49" s="38"/>
      <c r="D49" s="39"/>
      <c r="E49" s="37" t="s">
        <v>36</v>
      </c>
      <c r="F49" s="38"/>
      <c r="G49" s="39"/>
      <c r="H49" s="41"/>
    </row>
    <row r="50" spans="1:11">
      <c r="B50" s="6" t="s">
        <v>10</v>
      </c>
      <c r="C50" s="6" t="s">
        <v>11</v>
      </c>
      <c r="D50" s="6" t="s">
        <v>12</v>
      </c>
      <c r="E50" s="6" t="s">
        <v>10</v>
      </c>
      <c r="F50" s="6" t="s">
        <v>11</v>
      </c>
      <c r="G50" s="6" t="s">
        <v>12</v>
      </c>
      <c r="H50" s="42"/>
    </row>
    <row r="51" spans="1:11">
      <c r="A51" t="s">
        <v>21</v>
      </c>
      <c r="B51" s="7">
        <f>6645/7455</f>
        <v>0.89134808853118708</v>
      </c>
      <c r="C51" s="7">
        <f>6230/9485</f>
        <v>0.65682656826568264</v>
      </c>
      <c r="D51" s="7">
        <f>8245/14615</f>
        <v>0.5641464249059186</v>
      </c>
      <c r="E51" s="7">
        <f>5295/7455</f>
        <v>0.71026156941649898</v>
      </c>
      <c r="F51" s="7">
        <f>4470/9485</f>
        <v>0.47127042698998417</v>
      </c>
      <c r="G51" s="7">
        <f>3485/14615</f>
        <v>0.23845364351693465</v>
      </c>
      <c r="H51" s="8">
        <v>5295</v>
      </c>
    </row>
    <row r="52" spans="1:11">
      <c r="A52" s="10"/>
      <c r="B52" s="10" t="s">
        <v>18</v>
      </c>
      <c r="C52" s="10"/>
      <c r="D52" s="11"/>
      <c r="E52" s="11"/>
      <c r="F52" s="10"/>
      <c r="G52" s="11"/>
    </row>
    <row r="55" spans="1:11" ht="30" customHeight="1">
      <c r="A55" s="4" t="s">
        <v>39</v>
      </c>
      <c r="B55" s="35" t="s">
        <v>40</v>
      </c>
      <c r="C55" s="35"/>
      <c r="D55" s="35"/>
      <c r="E55" s="35"/>
      <c r="F55" s="35"/>
      <c r="G55" s="35"/>
      <c r="H55" s="35"/>
      <c r="I55" s="35"/>
      <c r="J55" s="35"/>
      <c r="K55" s="35"/>
    </row>
    <row r="57" spans="1:11" ht="30.75" customHeight="1">
      <c r="B57" s="36" t="s">
        <v>41</v>
      </c>
      <c r="C57" s="36"/>
      <c r="D57" s="36"/>
      <c r="E57" s="36" t="s">
        <v>42</v>
      </c>
      <c r="F57" s="36"/>
      <c r="G57" s="36"/>
      <c r="H57" s="36" t="s">
        <v>43</v>
      </c>
      <c r="I57" s="36"/>
      <c r="J57" s="36"/>
    </row>
    <row r="58" spans="1:11" ht="30">
      <c r="B58" s="16" t="s">
        <v>80</v>
      </c>
      <c r="C58" s="16" t="s">
        <v>81</v>
      </c>
      <c r="D58" s="16" t="s">
        <v>82</v>
      </c>
      <c r="E58" s="16" t="s">
        <v>80</v>
      </c>
      <c r="F58" s="16" t="s">
        <v>81</v>
      </c>
      <c r="G58" s="16" t="s">
        <v>82</v>
      </c>
      <c r="H58" s="16" t="s">
        <v>80</v>
      </c>
      <c r="I58" s="16" t="s">
        <v>81</v>
      </c>
      <c r="J58" s="16" t="s">
        <v>82</v>
      </c>
    </row>
    <row r="59" spans="1:11">
      <c r="A59" t="s">
        <v>21</v>
      </c>
      <c r="B59" s="17">
        <f>'Table 7 Calcs - Renters'!B11</f>
        <v>51.476232654266305</v>
      </c>
      <c r="C59" s="17">
        <f>'Table 7 Calcs - Renters'!C11</f>
        <v>101.89245746519879</v>
      </c>
      <c r="D59" s="17">
        <f>'Table 7 Calcs - Renters'!D11</f>
        <v>140.4861999634436</v>
      </c>
      <c r="E59" s="17">
        <f>'Table 7 Calcs - Renters'!B38</f>
        <v>35.76911721287275</v>
      </c>
      <c r="F59" s="17">
        <f>'Table 7 Calcs - Renters'!C38</f>
        <v>64.516422527522522</v>
      </c>
      <c r="G59" s="17">
        <f>'Table 7 Calcs - Renters'!D38</f>
        <v>95.317787485387313</v>
      </c>
      <c r="H59" s="21">
        <f>'Table 7 Calcs - Renters'!B37</f>
        <v>-21755</v>
      </c>
      <c r="I59" s="21">
        <f>'Table 7 Calcs - Renters'!C37</f>
        <v>-19500</v>
      </c>
      <c r="J59" s="21">
        <f>'Table 7 Calcs - Renters'!D37</f>
        <v>-3805</v>
      </c>
    </row>
    <row r="60" spans="1:11">
      <c r="B60" s="10" t="s">
        <v>54</v>
      </c>
    </row>
    <row r="61" spans="1:11">
      <c r="B61" s="10"/>
    </row>
    <row r="63" spans="1:11" ht="30" customHeight="1">
      <c r="A63" s="4" t="s">
        <v>83</v>
      </c>
      <c r="B63" s="35" t="s">
        <v>84</v>
      </c>
      <c r="C63" s="35"/>
      <c r="D63" s="35"/>
      <c r="E63" s="35"/>
      <c r="F63" s="35"/>
      <c r="G63" s="35"/>
      <c r="H63" s="35"/>
      <c r="I63" s="35"/>
      <c r="J63" s="35"/>
      <c r="K63" s="35"/>
    </row>
    <row r="65" spans="1:10" ht="30.75" customHeight="1">
      <c r="B65" s="36" t="s">
        <v>85</v>
      </c>
      <c r="C65" s="36"/>
      <c r="D65" s="36"/>
      <c r="E65" s="36" t="s">
        <v>86</v>
      </c>
      <c r="F65" s="36"/>
      <c r="G65" s="36"/>
      <c r="H65" s="36" t="s">
        <v>43</v>
      </c>
      <c r="I65" s="36"/>
      <c r="J65" s="36"/>
    </row>
    <row r="66" spans="1:10" ht="30">
      <c r="B66" s="16" t="s">
        <v>80</v>
      </c>
      <c r="C66" s="16" t="s">
        <v>81</v>
      </c>
      <c r="D66" s="16" t="s">
        <v>82</v>
      </c>
      <c r="E66" s="16" t="s">
        <v>80</v>
      </c>
      <c r="F66" s="16" t="s">
        <v>81</v>
      </c>
      <c r="G66" s="16" t="s">
        <v>82</v>
      </c>
      <c r="H66" s="16" t="s">
        <v>80</v>
      </c>
      <c r="I66" s="16" t="s">
        <v>81</v>
      </c>
      <c r="J66" s="16" t="s">
        <v>82</v>
      </c>
    </row>
    <row r="67" spans="1:10">
      <c r="A67" t="s">
        <v>21</v>
      </c>
      <c r="B67" s="17">
        <f>'Table 8 Calcs - Owners'!B11</f>
        <v>15.905147484094853</v>
      </c>
      <c r="C67" s="17">
        <f>'Table 8 Calcs - Owners'!C11</f>
        <v>20.41457286432161</v>
      </c>
      <c r="D67" s="17">
        <f>'Table 8 Calcs - Owners'!D11</f>
        <v>38.706015891032919</v>
      </c>
      <c r="E67" s="17">
        <f>'Table 8 Calcs - Owners'!B39</f>
        <v>6.7472947167409298</v>
      </c>
      <c r="F67" s="17">
        <f>'Table 8 Calcs - Owners'!C39</f>
        <v>12.058993637941008</v>
      </c>
      <c r="G67" s="17">
        <f>'Table 8 Calcs - Owners'!D39</f>
        <v>24.937185929648244</v>
      </c>
      <c r="H67" s="21">
        <f>'Table 8 Calcs - Owners'!B38</f>
        <v>-7325</v>
      </c>
      <c r="I67" s="21">
        <f>'Table 8 Calcs - Owners'!C38</f>
        <v>-15205</v>
      </c>
      <c r="J67" s="21">
        <f>'Table 8 Calcs - Owners'!D38</f>
        <v>-23900</v>
      </c>
    </row>
    <row r="68" spans="1:10">
      <c r="B68" s="10" t="s">
        <v>87</v>
      </c>
    </row>
  </sheetData>
  <mergeCells count="22">
    <mergeCell ref="B65:D65"/>
    <mergeCell ref="E65:G65"/>
    <mergeCell ref="H65:J65"/>
    <mergeCell ref="C9:E9"/>
    <mergeCell ref="F9:H9"/>
    <mergeCell ref="C17:E17"/>
    <mergeCell ref="F17:H17"/>
    <mergeCell ref="B25:D25"/>
    <mergeCell ref="B49:D49"/>
    <mergeCell ref="E49:G49"/>
    <mergeCell ref="H40:H42"/>
    <mergeCell ref="H48:H50"/>
    <mergeCell ref="B32:D32"/>
    <mergeCell ref="B41:D41"/>
    <mergeCell ref="E41:G41"/>
    <mergeCell ref="B3:K3"/>
    <mergeCell ref="B4:K4"/>
    <mergeCell ref="B55:K55"/>
    <mergeCell ref="B63:K63"/>
    <mergeCell ref="B57:D57"/>
    <mergeCell ref="E57:G57"/>
    <mergeCell ref="H57:J57"/>
  </mergeCells>
  <pageMargins left="0.7" right="0.7" top="0.75" bottom="0.75" header="0.3" footer="0.3"/>
  <pageSetup orientation="landscape" r:id="rId1"/>
  <headerFooter>
    <oddFooter>&amp;L&amp;9&amp;Z&amp;F&amp;R&amp;9&amp;P of &amp;N</oddFooter>
  </headerFooter>
  <rowBreaks count="2" manualBreakCount="2">
    <brk id="29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topLeftCell="A22" workbookViewId="0">
      <selection activeCell="B40" sqref="B40"/>
    </sheetView>
  </sheetViews>
  <sheetFormatPr defaultRowHeight="15"/>
  <cols>
    <col min="1" max="1" width="38.42578125" bestFit="1" customWidth="1"/>
    <col min="2" max="6" width="13.7109375" customWidth="1"/>
    <col min="7" max="15" width="10.7109375" customWidth="1"/>
  </cols>
  <sheetData>
    <row r="1" spans="1:6" ht="60">
      <c r="A1" s="25" t="s">
        <v>56</v>
      </c>
      <c r="B1" s="15" t="s">
        <v>44</v>
      </c>
      <c r="C1" s="15" t="s">
        <v>45</v>
      </c>
      <c r="D1" s="15" t="s">
        <v>46</v>
      </c>
      <c r="E1" s="15" t="s">
        <v>47</v>
      </c>
      <c r="F1" s="16" t="s">
        <v>53</v>
      </c>
    </row>
    <row r="2" spans="1:6">
      <c r="A2" s="19" t="s">
        <v>48</v>
      </c>
      <c r="B2" s="23">
        <v>33870</v>
      </c>
      <c r="C2" s="23">
        <v>21085</v>
      </c>
      <c r="D2" s="23">
        <v>27110</v>
      </c>
      <c r="E2" s="23">
        <f>15125+38655</f>
        <v>53780</v>
      </c>
      <c r="F2" s="24">
        <f>SUM(B2:E2)</f>
        <v>135845</v>
      </c>
    </row>
    <row r="3" spans="1:6">
      <c r="A3" t="s">
        <v>49</v>
      </c>
      <c r="B3" s="22">
        <f>B2/$F$2</f>
        <v>0.24932827855276235</v>
      </c>
      <c r="C3" s="22">
        <f t="shared" ref="C3:F3" si="0">C2/$F$2</f>
        <v>0.15521366263020353</v>
      </c>
      <c r="D3" s="22">
        <f t="shared" si="0"/>
        <v>0.19956568147521073</v>
      </c>
      <c r="E3" s="22">
        <f t="shared" si="0"/>
        <v>0.39589237734182342</v>
      </c>
      <c r="F3" s="22">
        <f t="shared" si="0"/>
        <v>1</v>
      </c>
    </row>
    <row r="4" spans="1:6" ht="30.75" customHeight="1">
      <c r="A4" s="18" t="s">
        <v>50</v>
      </c>
      <c r="B4" s="23">
        <f>SUM(B5:B6)</f>
        <v>17435</v>
      </c>
      <c r="C4" s="23">
        <f t="shared" ref="C4:F4" si="1">SUM(C5:C6)</f>
        <v>38560</v>
      </c>
      <c r="D4" s="23">
        <f t="shared" si="1"/>
        <v>59295</v>
      </c>
      <c r="E4" s="23">
        <f t="shared" si="1"/>
        <v>25625</v>
      </c>
      <c r="F4" s="23">
        <f t="shared" si="1"/>
        <v>140915</v>
      </c>
    </row>
    <row r="5" spans="1:6">
      <c r="A5" t="s">
        <v>51</v>
      </c>
      <c r="B5" s="20">
        <v>17010</v>
      </c>
      <c r="C5" s="20">
        <v>37285</v>
      </c>
      <c r="D5" s="20">
        <v>57210</v>
      </c>
      <c r="E5" s="20">
        <v>24340</v>
      </c>
      <c r="F5" s="21">
        <f>SUM(B5:E5)</f>
        <v>135845</v>
      </c>
    </row>
    <row r="6" spans="1:6">
      <c r="A6" t="s">
        <v>52</v>
      </c>
      <c r="B6" s="20">
        <v>425</v>
      </c>
      <c r="C6" s="20">
        <v>1275</v>
      </c>
      <c r="D6" s="20">
        <v>2085</v>
      </c>
      <c r="E6" s="20">
        <v>1285</v>
      </c>
      <c r="F6" s="21">
        <f>SUM(B6:E6)</f>
        <v>5070</v>
      </c>
    </row>
    <row r="7" spans="1:6" ht="45" customHeight="1">
      <c r="A7" s="15" t="s">
        <v>55</v>
      </c>
      <c r="B7" s="23">
        <f>B4-B2</f>
        <v>-16435</v>
      </c>
      <c r="C7" s="23">
        <f t="shared" ref="C7:F7" si="2">C4-C2</f>
        <v>17475</v>
      </c>
      <c r="D7" s="23">
        <f t="shared" si="2"/>
        <v>32185</v>
      </c>
      <c r="E7" s="23">
        <f t="shared" si="2"/>
        <v>-28155</v>
      </c>
      <c r="F7" s="23">
        <f t="shared" si="2"/>
        <v>5070</v>
      </c>
    </row>
    <row r="10" spans="1:6" ht="60">
      <c r="B10" s="15" t="s">
        <v>58</v>
      </c>
      <c r="C10" s="15" t="s">
        <v>59</v>
      </c>
      <c r="D10" s="15" t="s">
        <v>60</v>
      </c>
    </row>
    <row r="11" spans="1:6" ht="45">
      <c r="A11" s="15" t="s">
        <v>61</v>
      </c>
      <c r="B11" s="17">
        <f>B4/B2*100</f>
        <v>51.476232654266305</v>
      </c>
      <c r="C11" s="17">
        <f>SUM(B4:C4)/SUM(B2:C2)*100</f>
        <v>101.89245746519879</v>
      </c>
      <c r="D11" s="17">
        <f>SUM(B4:D4)/SUM(B2:D2)*100</f>
        <v>140.4861999634436</v>
      </c>
    </row>
    <row r="14" spans="1:6">
      <c r="A14" s="32" t="s">
        <v>57</v>
      </c>
    </row>
    <row r="15" spans="1:6">
      <c r="A15" s="25"/>
      <c r="B15" s="43" t="s">
        <v>68</v>
      </c>
      <c r="C15" s="43"/>
      <c r="D15" s="43"/>
      <c r="E15" s="43"/>
      <c r="F15" s="28"/>
    </row>
    <row r="16" spans="1:6" ht="45" customHeight="1">
      <c r="A16" s="19" t="s">
        <v>62</v>
      </c>
      <c r="B16" s="15" t="s">
        <v>70</v>
      </c>
      <c r="C16" s="15" t="s">
        <v>71</v>
      </c>
      <c r="D16" s="15" t="s">
        <v>72</v>
      </c>
      <c r="E16" s="15" t="s">
        <v>47</v>
      </c>
      <c r="F16" s="29" t="s">
        <v>69</v>
      </c>
    </row>
    <row r="17" spans="1:6" ht="30">
      <c r="A17" s="26" t="s">
        <v>65</v>
      </c>
      <c r="B17" s="27">
        <f>11690</f>
        <v>11690</v>
      </c>
      <c r="C17" s="27">
        <f>10790</f>
        <v>10790</v>
      </c>
      <c r="D17" s="27">
        <f>8980</f>
        <v>8980</v>
      </c>
      <c r="E17" s="27">
        <f>2410</f>
        <v>2410</v>
      </c>
      <c r="F17" s="30">
        <f>SUM(B17:E17)</f>
        <v>33870</v>
      </c>
    </row>
    <row r="18" spans="1:6" ht="30">
      <c r="A18" s="26" t="s">
        <v>66</v>
      </c>
      <c r="B18" s="27">
        <f>2220</f>
        <v>2220</v>
      </c>
      <c r="C18" s="27">
        <f>9055</f>
        <v>9055</v>
      </c>
      <c r="D18" s="27">
        <f>7915</f>
        <v>7915</v>
      </c>
      <c r="E18" s="27">
        <f>1895</f>
        <v>1895</v>
      </c>
      <c r="F18" s="30">
        <f t="shared" ref="F18:F22" si="3">SUM(B18:E18)</f>
        <v>21085</v>
      </c>
    </row>
    <row r="19" spans="1:6" ht="30">
      <c r="A19" s="26" t="s">
        <v>67</v>
      </c>
      <c r="B19" s="27">
        <f>1345</f>
        <v>1345</v>
      </c>
      <c r="C19" s="27">
        <f>9605</f>
        <v>9605</v>
      </c>
      <c r="D19" s="27">
        <f>12075</f>
        <v>12075</v>
      </c>
      <c r="E19" s="27">
        <f>3285</f>
        <v>3285</v>
      </c>
      <c r="F19" s="30">
        <f t="shared" si="3"/>
        <v>26310</v>
      </c>
    </row>
    <row r="20" spans="1:6" ht="30">
      <c r="A20" s="26" t="s">
        <v>110</v>
      </c>
      <c r="B20" s="27">
        <f>615+1140</f>
        <v>1755</v>
      </c>
      <c r="C20" s="27">
        <f>3150+4685</f>
        <v>7835</v>
      </c>
      <c r="D20" s="27">
        <f>8990+18450</f>
        <v>27440</v>
      </c>
      <c r="E20" s="27">
        <f>14380+2370</f>
        <v>16750</v>
      </c>
      <c r="F20" s="30">
        <f t="shared" si="3"/>
        <v>53780</v>
      </c>
    </row>
    <row r="21" spans="1:6">
      <c r="A21" s="19" t="s">
        <v>63</v>
      </c>
      <c r="B21" s="23">
        <f>SUM(B17:B20)</f>
        <v>17010</v>
      </c>
      <c r="C21" s="23">
        <f t="shared" ref="C21:E21" si="4">SUM(C17:C20)</f>
        <v>37285</v>
      </c>
      <c r="D21" s="23">
        <f t="shared" si="4"/>
        <v>56410</v>
      </c>
      <c r="E21" s="23">
        <f t="shared" si="4"/>
        <v>24340</v>
      </c>
      <c r="F21" s="31">
        <f t="shared" si="3"/>
        <v>135045</v>
      </c>
    </row>
    <row r="22" spans="1:6">
      <c r="A22" s="18" t="s">
        <v>64</v>
      </c>
      <c r="B22" s="23">
        <f>B6</f>
        <v>425</v>
      </c>
      <c r="C22" s="23">
        <f t="shared" ref="C22:E22" si="5">C6</f>
        <v>1275</v>
      </c>
      <c r="D22" s="23">
        <f t="shared" si="5"/>
        <v>2085</v>
      </c>
      <c r="E22" s="23">
        <f t="shared" si="5"/>
        <v>1285</v>
      </c>
      <c r="F22" s="31">
        <f t="shared" si="3"/>
        <v>5070</v>
      </c>
    </row>
    <row r="25" spans="1:6" ht="45" customHeight="1">
      <c r="B25" s="44" t="s">
        <v>73</v>
      </c>
      <c r="C25" s="44"/>
      <c r="D25" s="44"/>
    </row>
    <row r="26" spans="1:6" ht="45" customHeight="1">
      <c r="B26" s="15" t="s">
        <v>70</v>
      </c>
      <c r="C26" s="15" t="s">
        <v>59</v>
      </c>
      <c r="D26" s="15" t="s">
        <v>60</v>
      </c>
      <c r="E26" s="15"/>
    </row>
    <row r="27" spans="1:6">
      <c r="A27" s="18" t="s">
        <v>74</v>
      </c>
      <c r="B27" s="27">
        <f>B17</f>
        <v>11690</v>
      </c>
      <c r="C27" s="27">
        <f>SUM(B17:C18)</f>
        <v>33755</v>
      </c>
      <c r="D27" s="27">
        <f>SUM(B17:D19)</f>
        <v>73675</v>
      </c>
    </row>
    <row r="30" spans="1:6" ht="45" customHeight="1">
      <c r="B30" s="15" t="s">
        <v>70</v>
      </c>
      <c r="C30" s="15" t="s">
        <v>59</v>
      </c>
      <c r="D30" s="15" t="s">
        <v>60</v>
      </c>
      <c r="E30" s="15"/>
    </row>
    <row r="31" spans="1:6">
      <c r="A31" s="18" t="s">
        <v>75</v>
      </c>
      <c r="B31" s="27">
        <f>B22</f>
        <v>425</v>
      </c>
      <c r="C31" s="27">
        <f>SUM(B22:C22)</f>
        <v>1700</v>
      </c>
      <c r="D31" s="27">
        <f>SUM(B22:D22)</f>
        <v>3785</v>
      </c>
    </row>
    <row r="34" spans="1:4" ht="45">
      <c r="B34" s="15" t="s">
        <v>70</v>
      </c>
      <c r="C34" s="15" t="s">
        <v>59</v>
      </c>
      <c r="D34" s="15" t="s">
        <v>60</v>
      </c>
    </row>
    <row r="35" spans="1:4" ht="30" customHeight="1">
      <c r="A35" s="15" t="s">
        <v>79</v>
      </c>
      <c r="B35" s="21">
        <f>B27+B31</f>
        <v>12115</v>
      </c>
      <c r="C35" s="21">
        <f t="shared" ref="C35:D35" si="6">C27+C31</f>
        <v>35455</v>
      </c>
      <c r="D35" s="21">
        <f t="shared" si="6"/>
        <v>77460</v>
      </c>
    </row>
    <row r="36" spans="1:4">
      <c r="A36" s="19" t="s">
        <v>76</v>
      </c>
      <c r="B36" s="21">
        <f>F17</f>
        <v>33870</v>
      </c>
      <c r="C36" s="21">
        <f>SUM(F17:F18)</f>
        <v>54955</v>
      </c>
      <c r="D36" s="21">
        <f>SUM(F17:F19)</f>
        <v>81265</v>
      </c>
    </row>
    <row r="37" spans="1:4" ht="45" customHeight="1">
      <c r="A37" s="15" t="s">
        <v>78</v>
      </c>
      <c r="B37" s="21">
        <f>B35-B36</f>
        <v>-21755</v>
      </c>
      <c r="C37" s="21">
        <f t="shared" ref="C37:D37" si="7">C35-C36</f>
        <v>-19500</v>
      </c>
      <c r="D37" s="21">
        <f t="shared" si="7"/>
        <v>-3805</v>
      </c>
    </row>
    <row r="38" spans="1:4" ht="60">
      <c r="A38" s="15" t="s">
        <v>77</v>
      </c>
      <c r="B38" s="17">
        <f>B35/B36*100</f>
        <v>35.76911721287275</v>
      </c>
      <c r="C38" s="17">
        <f t="shared" ref="C38:D38" si="8">C35/C36*100</f>
        <v>64.516422527522522</v>
      </c>
      <c r="D38" s="17">
        <f t="shared" si="8"/>
        <v>95.317787485387313</v>
      </c>
    </row>
  </sheetData>
  <mergeCells count="2">
    <mergeCell ref="B15:E15"/>
    <mergeCell ref="B25:D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topLeftCell="A24" workbookViewId="0">
      <selection activeCell="D38" sqref="D38"/>
    </sheetView>
  </sheetViews>
  <sheetFormatPr defaultRowHeight="15"/>
  <cols>
    <col min="1" max="1" width="38.42578125" bestFit="1" customWidth="1"/>
    <col min="2" max="6" width="13.7109375" customWidth="1"/>
    <col min="7" max="15" width="10.7109375" customWidth="1"/>
  </cols>
  <sheetData>
    <row r="1" spans="1:6" ht="60">
      <c r="A1" s="25" t="s">
        <v>88</v>
      </c>
      <c r="B1" s="15" t="s">
        <v>105</v>
      </c>
      <c r="C1" s="15" t="s">
        <v>46</v>
      </c>
      <c r="D1" s="15" t="s">
        <v>106</v>
      </c>
      <c r="E1" s="15" t="s">
        <v>107</v>
      </c>
      <c r="F1" s="16" t="s">
        <v>53</v>
      </c>
    </row>
    <row r="2" spans="1:6">
      <c r="A2" s="19" t="s">
        <v>94</v>
      </c>
      <c r="B2" s="23">
        <f>3765+4910+4525+4090</f>
        <v>17290</v>
      </c>
      <c r="C2" s="23">
        <f>8975+5575</f>
        <v>14550</v>
      </c>
      <c r="D2" s="23">
        <f>8870+3340</f>
        <v>12210</v>
      </c>
      <c r="E2" s="23">
        <f>77545+15070</f>
        <v>92615</v>
      </c>
      <c r="F2" s="24">
        <f>SUM(B2:E2)</f>
        <v>136665</v>
      </c>
    </row>
    <row r="3" spans="1:6">
      <c r="A3" t="s">
        <v>49</v>
      </c>
      <c r="B3" s="22">
        <f>B2/$F$2</f>
        <v>0.1265137379724143</v>
      </c>
      <c r="C3" s="22">
        <f t="shared" ref="C3:F3" si="0">C2/$F$2</f>
        <v>0.10646471298430468</v>
      </c>
      <c r="D3" s="22">
        <f t="shared" si="0"/>
        <v>8.9342552957962895E-2</v>
      </c>
      <c r="E3" s="22">
        <f t="shared" si="0"/>
        <v>0.67767899608531812</v>
      </c>
      <c r="F3" s="22">
        <f t="shared" si="0"/>
        <v>1</v>
      </c>
    </row>
    <row r="4" spans="1:6" ht="30.75" customHeight="1">
      <c r="A4" s="18" t="s">
        <v>89</v>
      </c>
      <c r="B4" s="23">
        <f>SUM(B5:B6)</f>
        <v>2750</v>
      </c>
      <c r="C4" s="23">
        <f t="shared" ref="C4:F4" si="1">SUM(C5:C6)</f>
        <v>3750</v>
      </c>
      <c r="D4" s="23">
        <f t="shared" si="1"/>
        <v>10550</v>
      </c>
      <c r="E4" s="23">
        <f t="shared" si="1"/>
        <v>122205</v>
      </c>
      <c r="F4" s="23">
        <f t="shared" si="1"/>
        <v>139255</v>
      </c>
    </row>
    <row r="5" spans="1:6">
      <c r="A5" t="s">
        <v>90</v>
      </c>
      <c r="B5" s="20">
        <f>1415+1300</f>
        <v>2715</v>
      </c>
      <c r="C5" s="20">
        <f>2430+1320</f>
        <v>3750</v>
      </c>
      <c r="D5" s="20">
        <f>7245+3055</f>
        <v>10300</v>
      </c>
      <c r="E5" s="20">
        <f>92975+26925</f>
        <v>119900</v>
      </c>
      <c r="F5" s="21">
        <f>SUM(B5:E5)</f>
        <v>136665</v>
      </c>
    </row>
    <row r="6" spans="1:6">
      <c r="A6" t="s">
        <v>91</v>
      </c>
      <c r="B6" s="20">
        <v>35</v>
      </c>
      <c r="C6" s="20">
        <v>0</v>
      </c>
      <c r="D6" s="20">
        <v>250</v>
      </c>
      <c r="E6" s="20">
        <v>2305</v>
      </c>
      <c r="F6" s="21">
        <f>SUM(B6:E6)</f>
        <v>2590</v>
      </c>
    </row>
    <row r="7" spans="1:6" ht="45" customHeight="1">
      <c r="A7" s="15" t="s">
        <v>95</v>
      </c>
      <c r="B7" s="23">
        <f>B4-B2</f>
        <v>-14540</v>
      </c>
      <c r="C7" s="23">
        <f t="shared" ref="C7:F7" si="2">C4-C2</f>
        <v>-10800</v>
      </c>
      <c r="D7" s="23">
        <f t="shared" si="2"/>
        <v>-1660</v>
      </c>
      <c r="E7" s="23">
        <f t="shared" si="2"/>
        <v>29590</v>
      </c>
      <c r="F7" s="23">
        <f t="shared" si="2"/>
        <v>2590</v>
      </c>
    </row>
    <row r="10" spans="1:6" ht="45">
      <c r="B10" s="33" t="s">
        <v>111</v>
      </c>
      <c r="C10" s="33" t="s">
        <v>112</v>
      </c>
      <c r="D10" s="33" t="s">
        <v>113</v>
      </c>
    </row>
    <row r="11" spans="1:6" ht="45">
      <c r="A11" s="15" t="s">
        <v>96</v>
      </c>
      <c r="B11" s="17">
        <f>B4/B2*100</f>
        <v>15.905147484094853</v>
      </c>
      <c r="C11" s="17">
        <f>SUM(B4:C4)/SUM(B2:C2)*100</f>
        <v>20.41457286432161</v>
      </c>
      <c r="D11" s="17">
        <f>SUM(B4:D4)/SUM(B2:D2)*100</f>
        <v>38.706015891032919</v>
      </c>
    </row>
    <row r="14" spans="1:6">
      <c r="A14" s="32" t="s">
        <v>92</v>
      </c>
    </row>
    <row r="15" spans="1:6">
      <c r="A15" s="25"/>
      <c r="B15" s="43" t="s">
        <v>103</v>
      </c>
      <c r="C15" s="43"/>
      <c r="D15" s="43"/>
      <c r="E15" s="43"/>
      <c r="F15" s="28"/>
    </row>
    <row r="16" spans="1:6" ht="60">
      <c r="A16" s="19" t="s">
        <v>93</v>
      </c>
      <c r="B16" s="15" t="s">
        <v>105</v>
      </c>
      <c r="C16" s="15" t="s">
        <v>46</v>
      </c>
      <c r="D16" s="15" t="s">
        <v>106</v>
      </c>
      <c r="E16" s="15" t="s">
        <v>107</v>
      </c>
      <c r="F16" s="29" t="s">
        <v>97</v>
      </c>
    </row>
    <row r="17" spans="1:6" ht="30">
      <c r="A17" s="26" t="s">
        <v>98</v>
      </c>
      <c r="B17" s="27">
        <f>200+295</f>
        <v>495</v>
      </c>
      <c r="C17" s="27">
        <f>170+425</f>
        <v>595</v>
      </c>
      <c r="D17" s="27">
        <f>385+720</f>
        <v>1105</v>
      </c>
      <c r="E17" s="27">
        <f>3010+2650</f>
        <v>5660</v>
      </c>
      <c r="F17" s="30">
        <f>SUM(B17:E17)</f>
        <v>7855</v>
      </c>
    </row>
    <row r="18" spans="1:6" ht="30">
      <c r="A18" s="26" t="s">
        <v>99</v>
      </c>
      <c r="B18" s="27">
        <f>155+305</f>
        <v>460</v>
      </c>
      <c r="C18" s="27">
        <f>295+205</f>
        <v>500</v>
      </c>
      <c r="D18" s="27">
        <f>655+635</f>
        <v>1290</v>
      </c>
      <c r="E18" s="27">
        <f>3805+3380</f>
        <v>7185</v>
      </c>
      <c r="F18" s="30">
        <f t="shared" ref="F18:F21" si="3">SUM(B18:E18)</f>
        <v>9435</v>
      </c>
    </row>
    <row r="19" spans="1:6" ht="30">
      <c r="A19" s="26" t="s">
        <v>100</v>
      </c>
      <c r="B19" s="27">
        <f>280+260</f>
        <v>540</v>
      </c>
      <c r="C19" s="27">
        <f>645+245</f>
        <v>890</v>
      </c>
      <c r="D19" s="27">
        <f>1185+595</f>
        <v>1780</v>
      </c>
      <c r="E19" s="27">
        <f>6865+4475</f>
        <v>11340</v>
      </c>
      <c r="F19" s="30">
        <f t="shared" si="3"/>
        <v>14550</v>
      </c>
    </row>
    <row r="20" spans="1:6" ht="30">
      <c r="A20" s="26" t="s">
        <v>108</v>
      </c>
      <c r="B20" s="27">
        <f>225+105</f>
        <v>330</v>
      </c>
      <c r="C20" s="27">
        <f>395+180</f>
        <v>575</v>
      </c>
      <c r="D20" s="27">
        <f>1070+235</f>
        <v>1305</v>
      </c>
      <c r="E20" s="27">
        <f>7180+2820</f>
        <v>10000</v>
      </c>
      <c r="F20" s="30">
        <f t="shared" si="3"/>
        <v>12210</v>
      </c>
    </row>
    <row r="21" spans="1:6" ht="30">
      <c r="A21" s="26" t="s">
        <v>109</v>
      </c>
      <c r="B21" s="27">
        <f>555+335</f>
        <v>890</v>
      </c>
      <c r="C21" s="27">
        <f>925+265</f>
        <v>1190</v>
      </c>
      <c r="D21" s="27">
        <f>3950+870</f>
        <v>4820</v>
      </c>
      <c r="E21" s="27">
        <f>72115+13600</f>
        <v>85715</v>
      </c>
      <c r="F21" s="30">
        <f t="shared" si="3"/>
        <v>92615</v>
      </c>
    </row>
    <row r="22" spans="1:6">
      <c r="A22" s="19" t="s">
        <v>63</v>
      </c>
      <c r="B22" s="23">
        <f>SUM(B17:B21)</f>
        <v>2715</v>
      </c>
      <c r="C22" s="23">
        <f t="shared" ref="C22:E22" si="4">SUM(C17:C21)</f>
        <v>3750</v>
      </c>
      <c r="D22" s="23">
        <f t="shared" si="4"/>
        <v>10300</v>
      </c>
      <c r="E22" s="23">
        <f t="shared" si="4"/>
        <v>119900</v>
      </c>
      <c r="F22" s="31">
        <f t="shared" ref="F22:F23" si="5">SUM(B22:E22)</f>
        <v>136665</v>
      </c>
    </row>
    <row r="23" spans="1:6">
      <c r="A23" s="18" t="s">
        <v>64</v>
      </c>
      <c r="B23" s="23">
        <f>B6</f>
        <v>35</v>
      </c>
      <c r="C23" s="23">
        <f t="shared" ref="C23:E23" si="6">C6</f>
        <v>0</v>
      </c>
      <c r="D23" s="23">
        <f t="shared" si="6"/>
        <v>250</v>
      </c>
      <c r="E23" s="23">
        <f t="shared" si="6"/>
        <v>2305</v>
      </c>
      <c r="F23" s="31">
        <f t="shared" si="5"/>
        <v>2590</v>
      </c>
    </row>
    <row r="26" spans="1:6" ht="45" customHeight="1">
      <c r="B26" s="44" t="s">
        <v>104</v>
      </c>
      <c r="C26" s="44"/>
      <c r="D26" s="44"/>
    </row>
    <row r="27" spans="1:6" ht="45" customHeight="1">
      <c r="B27" s="33" t="s">
        <v>111</v>
      </c>
      <c r="C27" s="33" t="s">
        <v>112</v>
      </c>
      <c r="D27" s="33" t="s">
        <v>113</v>
      </c>
      <c r="E27" s="15"/>
    </row>
    <row r="28" spans="1:6">
      <c r="A28" s="18" t="s">
        <v>74</v>
      </c>
      <c r="B28" s="27">
        <f>B17</f>
        <v>495</v>
      </c>
      <c r="C28" s="27">
        <f>SUM(B17:C18)</f>
        <v>2050</v>
      </c>
      <c r="D28" s="27">
        <f>SUM(B17:D19)</f>
        <v>7655</v>
      </c>
    </row>
    <row r="31" spans="1:6" ht="45" customHeight="1">
      <c r="B31" s="33" t="s">
        <v>111</v>
      </c>
      <c r="C31" s="33" t="s">
        <v>112</v>
      </c>
      <c r="D31" s="33" t="s">
        <v>113</v>
      </c>
      <c r="E31" s="15"/>
    </row>
    <row r="32" spans="1:6">
      <c r="A32" s="18" t="s">
        <v>75</v>
      </c>
      <c r="B32" s="27">
        <f>B23</f>
        <v>35</v>
      </c>
      <c r="C32" s="27">
        <f>SUM(B23:C23)</f>
        <v>35</v>
      </c>
      <c r="D32" s="27">
        <f>SUM(B23:D23)</f>
        <v>285</v>
      </c>
    </row>
    <row r="35" spans="1:4" ht="45">
      <c r="B35" s="33" t="s">
        <v>111</v>
      </c>
      <c r="C35" s="33" t="s">
        <v>112</v>
      </c>
      <c r="D35" s="33" t="s">
        <v>113</v>
      </c>
    </row>
    <row r="36" spans="1:4" ht="30" customHeight="1">
      <c r="A36" s="15" t="s">
        <v>79</v>
      </c>
      <c r="B36" s="21">
        <f>B28+B32</f>
        <v>530</v>
      </c>
      <c r="C36" s="21">
        <f t="shared" ref="C36:D36" si="7">C28+C32</f>
        <v>2085</v>
      </c>
      <c r="D36" s="21">
        <f t="shared" si="7"/>
        <v>7940</v>
      </c>
    </row>
    <row r="37" spans="1:4">
      <c r="A37" s="19" t="s">
        <v>101</v>
      </c>
      <c r="B37" s="21">
        <f>F17</f>
        <v>7855</v>
      </c>
      <c r="C37" s="21">
        <f>SUM(F17:F18)</f>
        <v>17290</v>
      </c>
      <c r="D37" s="21">
        <f>SUM(F17:F19)</f>
        <v>31840</v>
      </c>
    </row>
    <row r="38" spans="1:4" ht="45" customHeight="1">
      <c r="A38" s="15" t="s">
        <v>78</v>
      </c>
      <c r="B38" s="21">
        <f>B36-B37</f>
        <v>-7325</v>
      </c>
      <c r="C38" s="21">
        <f t="shared" ref="C38:D38" si="8">C36-C37</f>
        <v>-15205</v>
      </c>
      <c r="D38" s="21">
        <f t="shared" si="8"/>
        <v>-23900</v>
      </c>
    </row>
    <row r="39" spans="1:4" ht="60">
      <c r="A39" s="15" t="s">
        <v>102</v>
      </c>
      <c r="B39" s="17">
        <f>B36/B37*100</f>
        <v>6.7472947167409298</v>
      </c>
      <c r="C39" s="17">
        <f t="shared" ref="C39:D39" si="9">C36/C37*100</f>
        <v>12.058993637941008</v>
      </c>
      <c r="D39" s="17">
        <f t="shared" si="9"/>
        <v>24.937185929648244</v>
      </c>
    </row>
  </sheetData>
  <mergeCells count="2">
    <mergeCell ref="B15:E15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Table 7 Calcs - Renters</vt:lpstr>
      <vt:lpstr>Table 8 Calcs - Owners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Hewitt Walker, Laura</dc:creator>
  <cp:lastModifiedBy>Stephanie</cp:lastModifiedBy>
  <cp:lastPrinted>2013-04-16T19:08:16Z</cp:lastPrinted>
  <dcterms:created xsi:type="dcterms:W3CDTF">2013-04-11T22:20:41Z</dcterms:created>
  <dcterms:modified xsi:type="dcterms:W3CDTF">2013-10-29T18:42:22Z</dcterms:modified>
</cp:coreProperties>
</file>